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firstSheet="2" activeTab="7"/>
  </bookViews>
  <sheets>
    <sheet name="Instructions" sheetId="1" state="hidden" r:id="rId1"/>
    <sheet name="Gen Obl Unl Tax Refund" sheetId="2" r:id="rId2"/>
    <sheet name="DDA Debt" sheetId="3" r:id="rId3"/>
    <sheet name="DDA Debt (2)" sheetId="4" r:id="rId4"/>
    <sheet name="2004 SHVUA" sheetId="5" r:id="rId5"/>
    <sheet name="2011 SHVUA" sheetId="6" r:id="rId6"/>
    <sheet name="2016 SHVUA" sheetId="7" r:id="rId7"/>
    <sheet name="2020 SHVUA" sheetId="8" r:id="rId8"/>
  </sheets>
  <definedNames>
    <definedName name="_xlnm.Print_Area" localSheetId="4">'2004 SHVUA'!$A$1:$G$22</definedName>
    <definedName name="_xlnm.Print_Area" localSheetId="5">'2011 SHVUA'!$A$1:$G$27</definedName>
    <definedName name="_xlnm.Print_Area" localSheetId="6">'2016 SHVUA'!$A$1:$G$22</definedName>
    <definedName name="_xlnm.Print_Area" localSheetId="7">'2020 SHVUA'!$A$1:$G$38</definedName>
    <definedName name="_xlnm.Print_Area" localSheetId="2">'DDA Debt'!$A$1:$G$21</definedName>
    <definedName name="_xlnm.Print_Area" localSheetId="3">'DDA Debt (2)'!$A$1:$G$33</definedName>
    <definedName name="_xlnm.Print_Area" localSheetId="1">'Gen Obl Unl Tax Refund'!$A$1:$G$30</definedName>
    <definedName name="_xlnm.Print_Area" localSheetId="0">'Instructions'!$A$1:$L$75</definedName>
    <definedName name="_xlnm.Print_Titles" localSheetId="4">'2004 SHVUA'!$1:$6</definedName>
    <definedName name="_xlnm.Print_Titles" localSheetId="5">'2011 SHVUA'!$1:$6</definedName>
    <definedName name="_xlnm.Print_Titles" localSheetId="6">'2016 SHVUA'!$1:$6</definedName>
    <definedName name="_xlnm.Print_Titles" localSheetId="7">'2020 SHVUA'!$1:$6</definedName>
    <definedName name="_xlnm.Print_Titles" localSheetId="2">'DDA Debt'!$1:$6</definedName>
    <definedName name="_xlnm.Print_Titles" localSheetId="3">'DDA Debt (2)'!$1:$6</definedName>
    <definedName name="_xlnm.Print_Titles" localSheetId="1">'Gen Obl Unl Tax Refund'!$1:$6</definedName>
  </definedNames>
  <calcPr fullCalcOnLoad="1"/>
</workbook>
</file>

<file path=xl/sharedStrings.xml><?xml version="1.0" encoding="utf-8"?>
<sst xmlns="http://schemas.openxmlformats.org/spreadsheetml/2006/main" count="332" uniqueCount="63">
  <si>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</si>
  <si>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</si>
  <si>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</si>
  <si>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</si>
  <si>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</si>
  <si>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</si>
  <si>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</si>
  <si>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</si>
  <si>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</si>
  <si>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</si>
  <si>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</si>
  <si>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</si>
  <si>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</si>
  <si>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</si>
  <si>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</si>
  <si>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</si>
  <si>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</si>
  <si>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</si>
  <si>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</si>
  <si>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</si>
  <si>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</si>
  <si>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</si>
  <si>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</si>
  <si>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</si>
  <si>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</si>
  <si>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</si>
  <si>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</si>
  <si>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</si>
  <si>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</si>
  <si>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</si>
  <si>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</si>
  <si>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</si>
  <si>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</si>
  <si>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</si>
  <si>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</si>
  <si>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</si>
  <si>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</si>
  <si>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</si>
  <si>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</si>
  <si>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Commentary: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</si>
  <si>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</si>
  <si>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</si>
  <si>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</si>
  <si>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</si>
  <si>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</si>
  <si>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</si>
  <si>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</si>
  <si>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City of Gibraltar</t>
  </si>
  <si>
    <t>Building Construction</t>
  </si>
  <si>
    <t>Millage levy</t>
  </si>
  <si>
    <t>General Obligation</t>
  </si>
  <si>
    <t>Nov. 2013</t>
  </si>
  <si>
    <t>Assessed based upon sewer flow</t>
  </si>
  <si>
    <t>Water and Sewer Fund</t>
  </si>
  <si>
    <t>2004 SHVUA Sewer System Plant Expansion</t>
  </si>
  <si>
    <t>2011 SHVUA Sewer System Trenton Arm Bonds</t>
  </si>
  <si>
    <t>2016 SHVUA Sewer System Biodeck Converstion Project</t>
  </si>
  <si>
    <t>2020 SHVUA Sewage Improvement and Refunding Bonds</t>
  </si>
  <si>
    <t>82-2090</t>
  </si>
  <si>
    <t>2021 Refunding Bonds (Unlimited General Tax Obligation)</t>
  </si>
  <si>
    <t>Refunding Bond</t>
  </si>
  <si>
    <t>2036-2043</t>
  </si>
  <si>
    <t>Water Main 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</si>
</sst>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8" fillId="33" borderId="0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3" fillId="33" borderId="0" xfId="58" applyFont="1" applyFill="1">
      <alignment/>
      <protection/>
    </xf>
    <xf numFmtId="0" fontId="2" fillId="33" borderId="0" xfId="58" applyFont="1" applyFill="1">
      <alignment/>
      <protection/>
    </xf>
    <xf numFmtId="0" fontId="49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8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48" fillId="33" borderId="0" xfId="0" applyFont="1" applyFill="1" applyBorder="1" applyAlignment="1">
      <alignment horizontal="right"/>
    </xf>
    <xf numFmtId="0" fontId="50" fillId="33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49" fillId="0" borderId="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49" fontId="51" fillId="0" borderId="0" xfId="61" applyNumberFormat="1" applyFont="1" applyFill="1">
      <alignment/>
      <protection/>
    </xf>
    <xf numFmtId="49" fontId="52" fillId="0" borderId="0" xfId="61" applyNumberFormat="1" applyFont="1" applyFill="1" applyAlignment="1">
      <alignment/>
      <protection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Fill="1" applyAlignment="1" quotePrefix="1">
      <alignment/>
    </xf>
    <xf numFmtId="49" fontId="51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51" fillId="0" borderId="0" xfId="0" applyNumberFormat="1" applyFont="1" applyFill="1" applyAlignment="1">
      <alignment/>
    </xf>
    <xf numFmtId="0" fontId="50" fillId="34" borderId="0" xfId="0" applyFont="1" applyFill="1" applyAlignment="1">
      <alignment horizontal="center"/>
    </xf>
    <xf numFmtId="164" fontId="2" fillId="34" borderId="0" xfId="44" applyNumberFormat="1" applyFont="1" applyFill="1" applyAlignment="1" applyProtection="1">
      <alignment/>
      <protection locked="0"/>
    </xf>
    <xf numFmtId="164" fontId="0" fillId="0" borderId="0" xfId="0" applyNumberFormat="1" applyAlignment="1">
      <alignment/>
    </xf>
    <xf numFmtId="164" fontId="50" fillId="33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49" fontId="53" fillId="0" borderId="0" xfId="59" applyNumberFormat="1" applyFont="1" applyFill="1" applyAlignment="1">
      <alignment horizontal="center" vertical="top"/>
      <protection/>
    </xf>
    <xf numFmtId="49" fontId="53" fillId="0" borderId="0" xfId="0" applyNumberFormat="1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left" wrapText="1"/>
    </xf>
    <xf numFmtId="1" fontId="50" fillId="34" borderId="0" xfId="0" applyNumberFormat="1" applyFont="1" applyFill="1" applyAlignment="1">
      <alignment horizontal="left" wrapText="1"/>
    </xf>
    <xf numFmtId="14" fontId="50" fillId="34" borderId="0" xfId="0" applyNumberFormat="1" applyFont="1" applyFill="1" applyAlignment="1">
      <alignment horizontal="left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50" fillId="33" borderId="18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9" xfId="0" applyFont="1" applyFill="1" applyBorder="1" applyAlignment="1">
      <alignment horizontal="left" vertical="top" wrapText="1"/>
    </xf>
    <xf numFmtId="14" fontId="50" fillId="34" borderId="0" xfId="0" applyNumberFormat="1" applyFont="1" applyFill="1" applyBorder="1" applyAlignment="1">
      <alignment horizontal="left" wrapText="1"/>
    </xf>
    <xf numFmtId="165" fontId="50" fillId="34" borderId="0" xfId="0" applyNumberFormat="1" applyFont="1" applyFill="1" applyAlignment="1">
      <alignment horizontal="left" wrapText="1"/>
    </xf>
    <xf numFmtId="0" fontId="50" fillId="34" borderId="0" xfId="0" applyFont="1" applyFill="1" applyAlignment="1">
      <alignment horizontal="left" wrapText="1"/>
    </xf>
    <xf numFmtId="0" fontId="50" fillId="34" borderId="11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B29" sqref="B29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ht="14.25">
      <c r="A2" s="24"/>
    </row>
    <row r="3" ht="14.25">
      <c r="A3" s="26" t="s">
        <v>16</v>
      </c>
    </row>
    <row r="4" ht="14.25">
      <c r="A4" s="26" t="s">
        <v>41</v>
      </c>
    </row>
    <row r="5" ht="14.25">
      <c r="A5" s="26" t="s">
        <v>43</v>
      </c>
    </row>
    <row r="6" ht="14.25">
      <c r="A6" s="26" t="s">
        <v>44</v>
      </c>
    </row>
    <row r="7" ht="14.25">
      <c r="A7" s="26" t="s">
        <v>42</v>
      </c>
    </row>
    <row r="8" ht="14.25">
      <c r="A8" s="24"/>
    </row>
    <row r="9" spans="1:3" ht="14.25">
      <c r="A9" s="24"/>
      <c r="B9" s="27" t="s">
        <v>18</v>
      </c>
      <c r="C9" s="28" t="s">
        <v>17</v>
      </c>
    </row>
    <row r="10" ht="14.25">
      <c r="A10" s="24"/>
    </row>
    <row r="11" spans="1:3" ht="14.25">
      <c r="A11" s="24"/>
      <c r="B11" s="27" t="s">
        <v>20</v>
      </c>
      <c r="C11" s="28" t="s">
        <v>19</v>
      </c>
    </row>
    <row r="12" ht="14.25">
      <c r="A12" s="24"/>
    </row>
    <row r="13" spans="1:3" ht="14.25">
      <c r="A13" s="24"/>
      <c r="B13" s="27" t="s">
        <v>21</v>
      </c>
      <c r="C13" s="26" t="s">
        <v>22</v>
      </c>
    </row>
    <row r="14" spans="1:3" ht="14.25">
      <c r="A14" s="24"/>
      <c r="C14" s="26" t="s">
        <v>23</v>
      </c>
    </row>
    <row r="15" ht="14.25">
      <c r="A15" s="24"/>
    </row>
    <row r="16" spans="1:5" ht="14.25">
      <c r="A16" s="24"/>
      <c r="D16" s="25" t="s">
        <v>32</v>
      </c>
      <c r="E16" s="26" t="s">
        <v>24</v>
      </c>
    </row>
    <row r="17" spans="1:5" ht="14.25">
      <c r="A17" s="24"/>
      <c r="E17" s="26" t="s">
        <v>25</v>
      </c>
    </row>
    <row r="18" spans="1:5" ht="14.25">
      <c r="A18" s="24"/>
      <c r="E18" s="28" t="s">
        <v>26</v>
      </c>
    </row>
    <row r="19" ht="14.25">
      <c r="A19" s="24"/>
    </row>
    <row r="20" spans="1:3" ht="14.25">
      <c r="A20" s="24"/>
      <c r="B20" s="27" t="s">
        <v>27</v>
      </c>
      <c r="C20" s="26" t="s">
        <v>45</v>
      </c>
    </row>
    <row r="21" spans="1:3" ht="14.25">
      <c r="A21" s="24"/>
      <c r="C21" s="26" t="s">
        <v>28</v>
      </c>
    </row>
    <row r="22" spans="1:3" ht="14.25">
      <c r="A22" s="24"/>
      <c r="C22" s="26" t="s">
        <v>29</v>
      </c>
    </row>
    <row r="23" ht="14.25">
      <c r="A23" s="24"/>
    </row>
    <row r="24" spans="1:3" ht="14.25">
      <c r="A24" s="24"/>
      <c r="B24" s="27" t="s">
        <v>30</v>
      </c>
      <c r="C24" s="26" t="s">
        <v>35</v>
      </c>
    </row>
    <row r="25" spans="1:3" ht="14.25">
      <c r="A25" s="24"/>
      <c r="C25" s="26" t="s">
        <v>31</v>
      </c>
    </row>
    <row r="26" ht="14.25">
      <c r="A26" s="24"/>
    </row>
    <row r="27" spans="1:3" ht="14.25">
      <c r="A27" s="24"/>
      <c r="B27" s="27" t="s">
        <v>33</v>
      </c>
      <c r="C27" s="25" t="s">
        <v>34</v>
      </c>
    </row>
    <row r="28" ht="14.25">
      <c r="A28" s="24"/>
    </row>
    <row r="29" ht="15">
      <c r="A29" s="23" t="s">
        <v>36</v>
      </c>
    </row>
    <row r="30" ht="15">
      <c r="A30" s="23" t="s">
        <v>46</v>
      </c>
    </row>
    <row r="31" spans="1:12" s="20" customFormat="1" ht="15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7" t="s">
        <v>40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ht="14.25">
      <c r="A37" s="35"/>
    </row>
    <row r="38" ht="18" customHeight="1">
      <c r="A38" s="35"/>
    </row>
    <row r="39" ht="18" customHeight="1">
      <c r="A39" s="35"/>
    </row>
    <row r="40" ht="18" customHeight="1">
      <c r="A40" s="35"/>
    </row>
    <row r="41" ht="18" customHeight="1">
      <c r="A41" s="35"/>
    </row>
    <row r="42" ht="18" customHeight="1">
      <c r="A42" s="35"/>
    </row>
    <row r="43" ht="18" customHeight="1">
      <c r="A43" s="35"/>
    </row>
    <row r="44" ht="18" customHeight="1">
      <c r="A44" s="35"/>
    </row>
    <row r="45" ht="14.25" customHeight="1">
      <c r="A45" s="35"/>
    </row>
    <row r="46" ht="14.25">
      <c r="A46" s="35"/>
    </row>
    <row r="47" ht="14.25">
      <c r="A47" s="35"/>
    </row>
    <row r="48" ht="14.25" customHeight="1">
      <c r="A48" s="35"/>
    </row>
    <row r="49" ht="14.25" customHeight="1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showGridLines="0" zoomScalePageLayoutView="0" workbookViewId="0" topLeftCell="A10">
      <selection activeCell="G18" sqref="G18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45473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9" t="s">
        <v>59</v>
      </c>
      <c r="D7" s="39"/>
      <c r="E7" s="39"/>
      <c r="F7" s="39"/>
      <c r="G7" s="39"/>
    </row>
    <row r="8" spans="1:7" ht="15">
      <c r="A8" s="15" t="s">
        <v>11</v>
      </c>
      <c r="B8" s="17"/>
      <c r="C8" s="51">
        <v>44560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2995000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60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49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3.5" customHeight="1">
      <c r="A14" s="31">
        <v>2024</v>
      </c>
      <c r="B14" s="13" t="s">
        <v>6</v>
      </c>
      <c r="C14" s="32">
        <v>285000</v>
      </c>
      <c r="D14" s="13" t="s">
        <v>6</v>
      </c>
      <c r="E14" s="32">
        <v>77325</v>
      </c>
      <c r="F14" s="13" t="s">
        <v>6</v>
      </c>
      <c r="G14" s="8">
        <f aca="true" t="shared" si="0" ref="G14:G24">+C14+E14</f>
        <v>362325</v>
      </c>
    </row>
    <row r="15" spans="1:7" ht="15">
      <c r="A15" s="31">
        <v>2025</v>
      </c>
      <c r="B15" s="13" t="s">
        <v>6</v>
      </c>
      <c r="C15" s="32">
        <v>300000</v>
      </c>
      <c r="D15" s="13" t="s">
        <v>6</v>
      </c>
      <c r="E15" s="32">
        <v>68550</v>
      </c>
      <c r="F15" s="13" t="s">
        <v>6</v>
      </c>
      <c r="G15" s="8">
        <f t="shared" si="0"/>
        <v>368550</v>
      </c>
    </row>
    <row r="16" spans="1:7" ht="15">
      <c r="A16" s="31">
        <v>2026</v>
      </c>
      <c r="B16" s="13" t="s">
        <v>6</v>
      </c>
      <c r="C16" s="32">
        <v>310000</v>
      </c>
      <c r="D16" s="13" t="s">
        <v>6</v>
      </c>
      <c r="E16" s="32">
        <v>59400</v>
      </c>
      <c r="F16" s="13" t="s">
        <v>6</v>
      </c>
      <c r="G16" s="8">
        <f t="shared" si="0"/>
        <v>369400</v>
      </c>
    </row>
    <row r="17" spans="1:7" ht="15">
      <c r="A17" s="31">
        <v>2027</v>
      </c>
      <c r="B17" s="13" t="s">
        <v>6</v>
      </c>
      <c r="C17" s="32">
        <v>320000</v>
      </c>
      <c r="D17" s="13" t="s">
        <v>6</v>
      </c>
      <c r="E17" s="32">
        <v>49950</v>
      </c>
      <c r="F17" s="13" t="s">
        <v>6</v>
      </c>
      <c r="G17" s="8">
        <f t="shared" si="0"/>
        <v>369950</v>
      </c>
    </row>
    <row r="18" spans="1:7" ht="15">
      <c r="A18" s="31">
        <v>2028</v>
      </c>
      <c r="B18" s="13" t="s">
        <v>6</v>
      </c>
      <c r="C18" s="32">
        <v>335000</v>
      </c>
      <c r="D18" s="13" t="s">
        <v>6</v>
      </c>
      <c r="E18" s="32">
        <v>40125</v>
      </c>
      <c r="F18" s="13" t="s">
        <v>6</v>
      </c>
      <c r="G18" s="8">
        <f t="shared" si="0"/>
        <v>375125</v>
      </c>
    </row>
    <row r="19" spans="1:7" ht="15">
      <c r="A19" s="31">
        <v>2029</v>
      </c>
      <c r="B19" s="13" t="s">
        <v>6</v>
      </c>
      <c r="C19" s="32">
        <v>355000</v>
      </c>
      <c r="D19" s="13" t="s">
        <v>6</v>
      </c>
      <c r="E19" s="32">
        <v>29775</v>
      </c>
      <c r="F19" s="13" t="s">
        <v>6</v>
      </c>
      <c r="G19" s="8">
        <f t="shared" si="0"/>
        <v>384775</v>
      </c>
    </row>
    <row r="20" spans="1:7" ht="15">
      <c r="A20" s="31">
        <v>2030</v>
      </c>
      <c r="B20" s="13" t="s">
        <v>6</v>
      </c>
      <c r="C20" s="32">
        <v>150000</v>
      </c>
      <c r="D20" s="13" t="s">
        <v>6</v>
      </c>
      <c r="E20" s="32">
        <v>22200</v>
      </c>
      <c r="F20" s="13" t="s">
        <v>6</v>
      </c>
      <c r="G20" s="8">
        <f t="shared" si="0"/>
        <v>172200</v>
      </c>
    </row>
    <row r="21" spans="1:7" ht="15">
      <c r="A21" s="31">
        <v>2031</v>
      </c>
      <c r="B21" s="13" t="s">
        <v>6</v>
      </c>
      <c r="C21" s="32">
        <v>155000</v>
      </c>
      <c r="D21" s="13" t="s">
        <v>6</v>
      </c>
      <c r="E21" s="32">
        <v>17625</v>
      </c>
      <c r="F21" s="13" t="s">
        <v>6</v>
      </c>
      <c r="G21" s="8">
        <f t="shared" si="0"/>
        <v>172625</v>
      </c>
    </row>
    <row r="22" spans="1:7" ht="15">
      <c r="A22" s="31">
        <v>2032</v>
      </c>
      <c r="B22" s="13" t="s">
        <v>6</v>
      </c>
      <c r="C22" s="32">
        <v>165000</v>
      </c>
      <c r="D22" s="13" t="s">
        <v>6</v>
      </c>
      <c r="E22" s="32">
        <v>12825</v>
      </c>
      <c r="F22" s="13" t="s">
        <v>6</v>
      </c>
      <c r="G22" s="8">
        <f t="shared" si="0"/>
        <v>177825</v>
      </c>
    </row>
    <row r="23" spans="1:7" ht="15">
      <c r="A23" s="31">
        <v>2033</v>
      </c>
      <c r="B23" s="13" t="s">
        <v>6</v>
      </c>
      <c r="C23" s="32">
        <v>165000</v>
      </c>
      <c r="D23" s="13" t="s">
        <v>6</v>
      </c>
      <c r="E23" s="32">
        <v>7875</v>
      </c>
      <c r="F23" s="13" t="s">
        <v>6</v>
      </c>
      <c r="G23" s="8">
        <f t="shared" si="0"/>
        <v>172875</v>
      </c>
    </row>
    <row r="24" spans="1:7" ht="15">
      <c r="A24" s="31">
        <v>2034</v>
      </c>
      <c r="B24" s="13" t="s">
        <v>6</v>
      </c>
      <c r="C24" s="32">
        <v>180000</v>
      </c>
      <c r="D24" s="13" t="s">
        <v>6</v>
      </c>
      <c r="E24" s="32">
        <v>2700</v>
      </c>
      <c r="F24" s="13" t="s">
        <v>6</v>
      </c>
      <c r="G24" s="8">
        <f t="shared" si="0"/>
        <v>182700</v>
      </c>
    </row>
    <row r="25" spans="1:7" ht="15.75" thickBot="1">
      <c r="A25" s="9" t="s">
        <v>7</v>
      </c>
      <c r="B25" s="14" t="s">
        <v>6</v>
      </c>
      <c r="C25" s="29">
        <f>SUM(C14:C24)</f>
        <v>2720000</v>
      </c>
      <c r="D25" s="14" t="s">
        <v>6</v>
      </c>
      <c r="E25" s="29">
        <f>SUM(E14:E24)</f>
        <v>388350</v>
      </c>
      <c r="F25" s="14" t="s">
        <v>6</v>
      </c>
      <c r="G25" s="29">
        <f>SUM(G14:G24)</f>
        <v>3108350</v>
      </c>
    </row>
    <row r="26" spans="1:7" ht="15.75" thickTop="1">
      <c r="A26" s="3"/>
      <c r="B26" s="3"/>
      <c r="C26" s="3"/>
      <c r="D26" s="3"/>
      <c r="E26" s="3"/>
      <c r="F26" s="3"/>
      <c r="G26" s="3"/>
    </row>
    <row r="27" spans="1:7" ht="15">
      <c r="A27" s="9"/>
      <c r="B27" s="2"/>
      <c r="C27" s="10"/>
      <c r="D27" s="2"/>
      <c r="E27" s="10"/>
      <c r="F27" s="2"/>
      <c r="G27" s="10"/>
    </row>
    <row r="28" spans="1:7" ht="15">
      <c r="A28" s="42" t="s">
        <v>39</v>
      </c>
      <c r="B28" s="43"/>
      <c r="C28" s="43"/>
      <c r="D28" s="43"/>
      <c r="E28" s="43"/>
      <c r="F28" s="43"/>
      <c r="G28" s="44"/>
    </row>
    <row r="29" spans="1:7" ht="15">
      <c r="A29" s="45"/>
      <c r="B29" s="46"/>
      <c r="C29" s="46"/>
      <c r="D29" s="46"/>
      <c r="E29" s="46"/>
      <c r="F29" s="46"/>
      <c r="G29" s="47"/>
    </row>
    <row r="30" spans="1:7" ht="15">
      <c r="A30" s="48"/>
      <c r="B30" s="49"/>
      <c r="C30" s="49"/>
      <c r="D30" s="49"/>
      <c r="E30" s="49"/>
      <c r="F30" s="49"/>
      <c r="G30" s="50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</sheetData>
  <sheetProtection/>
  <mergeCells count="10">
    <mergeCell ref="A1:G1"/>
    <mergeCell ref="C3:G3"/>
    <mergeCell ref="C4:G4"/>
    <mergeCell ref="C5:G5"/>
    <mergeCell ref="C7:G7"/>
    <mergeCell ref="A28:G30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G14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showGridLines="0" zoomScalePageLayoutView="0" workbookViewId="0" topLeftCell="A1">
      <selection activeCell="C6" sqref="C6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45473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9" t="s">
        <v>48</v>
      </c>
      <c r="D7" s="39"/>
      <c r="E7" s="39"/>
      <c r="F7" s="39"/>
      <c r="G7" s="39"/>
    </row>
    <row r="8" spans="1:7" ht="15">
      <c r="A8" s="15" t="s">
        <v>11</v>
      </c>
      <c r="B8" s="17"/>
      <c r="C8" s="51" t="s">
        <v>51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2350000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50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49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3.5" customHeight="1">
      <c r="A14" s="31">
        <v>2024</v>
      </c>
      <c r="B14" s="13" t="s">
        <v>6</v>
      </c>
      <c r="C14" s="32">
        <v>265000</v>
      </c>
      <c r="D14" s="13" t="s">
        <v>6</v>
      </c>
      <c r="E14" s="32">
        <v>3644</v>
      </c>
      <c r="F14" s="13" t="s">
        <v>6</v>
      </c>
      <c r="G14" s="8">
        <f>+C14+E14</f>
        <v>268644</v>
      </c>
    </row>
    <row r="15" spans="1:7" ht="15.75" thickBot="1">
      <c r="A15" s="9" t="s">
        <v>7</v>
      </c>
      <c r="B15" s="14" t="s">
        <v>6</v>
      </c>
      <c r="C15" s="29">
        <f>SUM(C14:C14)</f>
        <v>265000</v>
      </c>
      <c r="D15" s="14" t="s">
        <v>6</v>
      </c>
      <c r="E15" s="29">
        <f>SUM(E14:E14)</f>
        <v>3644</v>
      </c>
      <c r="F15" s="14" t="s">
        <v>6</v>
      </c>
      <c r="G15" s="29">
        <f>SUM(G14:G14)</f>
        <v>268644</v>
      </c>
    </row>
    <row r="16" spans="1:7" ht="15.75" thickTop="1">
      <c r="A16" s="3"/>
      <c r="B16" s="3"/>
      <c r="C16" s="3"/>
      <c r="D16" s="3"/>
      <c r="E16" s="3"/>
      <c r="F16" s="3"/>
      <c r="G16" s="3"/>
    </row>
    <row r="17" spans="1:7" ht="15">
      <c r="A17" s="9"/>
      <c r="B17" s="2"/>
      <c r="C17" s="10"/>
      <c r="D17" s="2"/>
      <c r="E17" s="10"/>
      <c r="F17" s="2"/>
      <c r="G17" s="10"/>
    </row>
    <row r="18" spans="1:7" ht="15">
      <c r="A18" s="42" t="s">
        <v>39</v>
      </c>
      <c r="B18" s="43"/>
      <c r="C18" s="43"/>
      <c r="D18" s="43"/>
      <c r="E18" s="43"/>
      <c r="F18" s="43"/>
      <c r="G18" s="44"/>
    </row>
    <row r="19" spans="1:7" ht="15">
      <c r="A19" s="45"/>
      <c r="B19" s="46"/>
      <c r="C19" s="46"/>
      <c r="D19" s="46"/>
      <c r="E19" s="46"/>
      <c r="F19" s="46"/>
      <c r="G19" s="47"/>
    </row>
    <row r="20" spans="1:7" ht="15">
      <c r="A20" s="48"/>
      <c r="B20" s="49"/>
      <c r="C20" s="49"/>
      <c r="D20" s="49"/>
      <c r="E20" s="49"/>
      <c r="F20" s="49"/>
      <c r="G20" s="50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</sheetData>
  <sheetProtection/>
  <mergeCells count="10">
    <mergeCell ref="C9:G9"/>
    <mergeCell ref="C10:G10"/>
    <mergeCell ref="C11:G11"/>
    <mergeCell ref="A18:G20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showGridLines="0" zoomScalePageLayoutView="0" workbookViewId="0" topLeftCell="A7">
      <selection activeCell="C9" sqref="C9:G9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45473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9" t="s">
        <v>62</v>
      </c>
      <c r="D7" s="39"/>
      <c r="E7" s="39"/>
      <c r="F7" s="39"/>
      <c r="G7" s="39"/>
    </row>
    <row r="8" spans="1:7" ht="15">
      <c r="A8" s="15" t="s">
        <v>11</v>
      </c>
      <c r="B8" s="17"/>
      <c r="C8" s="51">
        <v>45127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2350000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50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49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3.5" customHeight="1">
      <c r="A14" s="31">
        <v>2024</v>
      </c>
      <c r="B14" s="13" t="s">
        <v>6</v>
      </c>
      <c r="C14" s="32">
        <v>0</v>
      </c>
      <c r="D14" s="13" t="s">
        <v>6</v>
      </c>
      <c r="E14" s="32">
        <v>101794.44</v>
      </c>
      <c r="F14" s="13" t="s">
        <v>6</v>
      </c>
      <c r="G14" s="8">
        <f>+C14+E14</f>
        <v>101794.44</v>
      </c>
    </row>
    <row r="15" spans="1:7" ht="13.5" customHeight="1">
      <c r="A15" s="31">
        <v>2025</v>
      </c>
      <c r="B15" s="13"/>
      <c r="C15" s="32">
        <v>120000</v>
      </c>
      <c r="D15" s="13"/>
      <c r="E15" s="32">
        <f>73000+73000</f>
        <v>146000</v>
      </c>
      <c r="F15" s="13"/>
      <c r="G15" s="8">
        <f aca="true" t="shared" si="0" ref="G15:G26">+C15+E15</f>
        <v>266000</v>
      </c>
    </row>
    <row r="16" spans="1:7" ht="13.5" customHeight="1">
      <c r="A16" s="31">
        <v>2026</v>
      </c>
      <c r="B16" s="13"/>
      <c r="C16" s="32">
        <v>125000</v>
      </c>
      <c r="D16" s="13"/>
      <c r="E16" s="32">
        <f>70600+70600</f>
        <v>141200</v>
      </c>
      <c r="F16" s="13"/>
      <c r="G16" s="8">
        <f t="shared" si="0"/>
        <v>266200</v>
      </c>
    </row>
    <row r="17" spans="1:7" ht="13.5" customHeight="1">
      <c r="A17" s="31">
        <v>2027</v>
      </c>
      <c r="B17" s="13"/>
      <c r="C17" s="32">
        <v>130000</v>
      </c>
      <c r="D17" s="13"/>
      <c r="E17" s="32">
        <f>68100+68100</f>
        <v>136200</v>
      </c>
      <c r="F17" s="13"/>
      <c r="G17" s="8">
        <f t="shared" si="0"/>
        <v>266200</v>
      </c>
    </row>
    <row r="18" spans="1:7" ht="13.5" customHeight="1">
      <c r="A18" s="31">
        <v>2028</v>
      </c>
      <c r="B18" s="13"/>
      <c r="C18" s="32">
        <v>135000</v>
      </c>
      <c r="D18" s="13"/>
      <c r="E18" s="32">
        <f>65500+65500</f>
        <v>131000</v>
      </c>
      <c r="F18" s="13"/>
      <c r="G18" s="8">
        <f t="shared" si="0"/>
        <v>266000</v>
      </c>
    </row>
    <row r="19" spans="1:7" ht="13.5" customHeight="1">
      <c r="A19" s="31">
        <v>2029</v>
      </c>
      <c r="B19" s="13"/>
      <c r="C19" s="32">
        <v>140000</v>
      </c>
      <c r="D19" s="13"/>
      <c r="E19" s="32">
        <f>62800+62800</f>
        <v>125600</v>
      </c>
      <c r="F19" s="13"/>
      <c r="G19" s="8">
        <f t="shared" si="0"/>
        <v>265600</v>
      </c>
    </row>
    <row r="20" spans="1:7" ht="13.5" customHeight="1">
      <c r="A20" s="31">
        <v>2030</v>
      </c>
      <c r="B20" s="13"/>
      <c r="C20" s="32">
        <v>150000</v>
      </c>
      <c r="D20" s="13"/>
      <c r="E20" s="32">
        <f>59300+59300</f>
        <v>118600</v>
      </c>
      <c r="F20" s="13"/>
      <c r="G20" s="8">
        <f t="shared" si="0"/>
        <v>268600</v>
      </c>
    </row>
    <row r="21" spans="1:7" ht="13.5" customHeight="1">
      <c r="A21" s="31">
        <v>2031</v>
      </c>
      <c r="B21" s="13"/>
      <c r="C21" s="32">
        <v>155000</v>
      </c>
      <c r="D21" s="13"/>
      <c r="E21" s="32">
        <f>55550+55550</f>
        <v>111100</v>
      </c>
      <c r="F21" s="13"/>
      <c r="G21" s="8">
        <f t="shared" si="0"/>
        <v>266100</v>
      </c>
    </row>
    <row r="22" spans="1:7" ht="13.5" customHeight="1">
      <c r="A22" s="31">
        <v>2032</v>
      </c>
      <c r="B22" s="13"/>
      <c r="C22" s="32">
        <v>165000</v>
      </c>
      <c r="D22" s="13"/>
      <c r="E22" s="32">
        <f>51675+51675</f>
        <v>103350</v>
      </c>
      <c r="F22" s="13"/>
      <c r="G22" s="8">
        <f t="shared" si="0"/>
        <v>268350</v>
      </c>
    </row>
    <row r="23" spans="1:7" ht="13.5" customHeight="1">
      <c r="A23" s="31">
        <v>2033</v>
      </c>
      <c r="B23" s="13"/>
      <c r="C23" s="32">
        <v>170000</v>
      </c>
      <c r="D23" s="13"/>
      <c r="E23" s="32">
        <f>47550+47550</f>
        <v>95100</v>
      </c>
      <c r="F23" s="13"/>
      <c r="G23" s="8">
        <f t="shared" si="0"/>
        <v>265100</v>
      </c>
    </row>
    <row r="24" spans="1:7" ht="13.5" customHeight="1">
      <c r="A24" s="31">
        <v>2034</v>
      </c>
      <c r="B24" s="13"/>
      <c r="C24" s="32">
        <v>180000</v>
      </c>
      <c r="D24" s="13"/>
      <c r="E24" s="32">
        <f>43300+43300</f>
        <v>86600</v>
      </c>
      <c r="F24" s="13"/>
      <c r="G24" s="8">
        <f t="shared" si="0"/>
        <v>266600</v>
      </c>
    </row>
    <row r="25" spans="1:7" ht="13.5" customHeight="1">
      <c r="A25" s="31">
        <v>2035</v>
      </c>
      <c r="B25" s="13"/>
      <c r="C25" s="32">
        <v>190000</v>
      </c>
      <c r="D25" s="13"/>
      <c r="E25" s="32">
        <f>39700+39700</f>
        <v>79400</v>
      </c>
      <c r="F25" s="13"/>
      <c r="G25" s="8">
        <f t="shared" si="0"/>
        <v>269400</v>
      </c>
    </row>
    <row r="26" spans="1:7" ht="13.5" customHeight="1">
      <c r="A26" s="31" t="s">
        <v>61</v>
      </c>
      <c r="B26" s="13"/>
      <c r="C26" s="32">
        <f>195000+205000+210000+220000+230000+235000+245000+255000</f>
        <v>1795000</v>
      </c>
      <c r="D26" s="13"/>
      <c r="E26" s="32">
        <f>(35900*2)+(32000*2)+(27900*2)+(23700*2)+(19300*2)+(14700*2)+20000+10200</f>
        <v>337200</v>
      </c>
      <c r="F26" s="13"/>
      <c r="G26" s="8">
        <f t="shared" si="0"/>
        <v>2132200</v>
      </c>
    </row>
    <row r="27" spans="1:7" ht="15.75" thickBot="1">
      <c r="A27" s="9" t="s">
        <v>7</v>
      </c>
      <c r="B27" s="14" t="s">
        <v>6</v>
      </c>
      <c r="C27" s="29">
        <f>SUM(C14:C26)</f>
        <v>3455000</v>
      </c>
      <c r="D27" s="14" t="s">
        <v>6</v>
      </c>
      <c r="E27" s="29">
        <f>SUM(E14:E26)</f>
        <v>1713144.44</v>
      </c>
      <c r="F27" s="14" t="s">
        <v>6</v>
      </c>
      <c r="G27" s="29">
        <f>SUM(G14:G26)</f>
        <v>5168144.4399999995</v>
      </c>
    </row>
    <row r="28" spans="1:7" ht="15.75" thickTop="1">
      <c r="A28" s="3"/>
      <c r="B28" s="3"/>
      <c r="C28" s="34"/>
      <c r="D28" s="3"/>
      <c r="E28" s="3"/>
      <c r="F28" s="3"/>
      <c r="G28" s="3"/>
    </row>
    <row r="29" spans="1:7" ht="15">
      <c r="A29" s="9"/>
      <c r="B29" s="2"/>
      <c r="C29" s="10"/>
      <c r="D29" s="2"/>
      <c r="E29" s="10"/>
      <c r="F29" s="2"/>
      <c r="G29" s="10"/>
    </row>
    <row r="30" spans="1:7" ht="15">
      <c r="A30" s="42" t="s">
        <v>39</v>
      </c>
      <c r="B30" s="43"/>
      <c r="C30" s="43"/>
      <c r="D30" s="43"/>
      <c r="E30" s="43"/>
      <c r="F30" s="43"/>
      <c r="G30" s="44"/>
    </row>
    <row r="31" spans="1:7" ht="15">
      <c r="A31" s="45"/>
      <c r="B31" s="46"/>
      <c r="C31" s="46"/>
      <c r="D31" s="46"/>
      <c r="E31" s="46"/>
      <c r="F31" s="46"/>
      <c r="G31" s="47"/>
    </row>
    <row r="32" spans="1:7" ht="15">
      <c r="A32" s="48"/>
      <c r="B32" s="49"/>
      <c r="C32" s="49"/>
      <c r="D32" s="49"/>
      <c r="E32" s="49"/>
      <c r="F32" s="49"/>
      <c r="G32" s="50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</sheetData>
  <sheetProtection/>
  <mergeCells count="10">
    <mergeCell ref="C9:G9"/>
    <mergeCell ref="C10:G10"/>
    <mergeCell ref="C11:G11"/>
    <mergeCell ref="A30:G32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showGridLines="0" zoomScalePageLayoutView="0" workbookViewId="0" topLeftCell="A7">
      <selection activeCell="G17" sqref="G17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45107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9" t="s">
        <v>54</v>
      </c>
      <c r="D7" s="39"/>
      <c r="E7" s="39"/>
      <c r="F7" s="39"/>
      <c r="G7" s="39"/>
    </row>
    <row r="8" spans="1:7" ht="15">
      <c r="A8" s="15" t="s">
        <v>11</v>
      </c>
      <c r="B8" s="17"/>
      <c r="C8" s="51">
        <v>38168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1523882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52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53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2024</v>
      </c>
      <c r="B14" s="13" t="s">
        <v>6</v>
      </c>
      <c r="C14" s="32">
        <v>88425</v>
      </c>
      <c r="D14" s="13" t="s">
        <v>6</v>
      </c>
      <c r="E14" s="32">
        <v>5778</v>
      </c>
      <c r="F14" s="13" t="s">
        <v>6</v>
      </c>
      <c r="G14" s="8">
        <f>+C14+E14</f>
        <v>94203</v>
      </c>
    </row>
    <row r="15" spans="1:7" ht="13.5" customHeight="1">
      <c r="A15" s="31">
        <v>2025</v>
      </c>
      <c r="B15" s="13" t="s">
        <v>6</v>
      </c>
      <c r="C15" s="32">
        <v>90904</v>
      </c>
      <c r="D15" s="13" t="s">
        <v>6</v>
      </c>
      <c r="E15" s="32">
        <v>4881.96</v>
      </c>
      <c r="F15" s="13" t="s">
        <v>6</v>
      </c>
      <c r="G15" s="8">
        <f>+C15+E15</f>
        <v>95785.96</v>
      </c>
    </row>
    <row r="16" spans="1:7" ht="15">
      <c r="A16" s="31">
        <v>2026</v>
      </c>
      <c r="B16" s="13" t="s">
        <v>6</v>
      </c>
      <c r="C16" s="32">
        <v>92557</v>
      </c>
      <c r="D16" s="13" t="s">
        <v>6</v>
      </c>
      <c r="E16" s="32">
        <v>983.42</v>
      </c>
      <c r="F16" s="13" t="s">
        <v>6</v>
      </c>
      <c r="G16" s="8">
        <f>+C16+E16</f>
        <v>93540.42</v>
      </c>
    </row>
    <row r="17" spans="1:7" ht="15.75" thickBot="1">
      <c r="A17" s="9" t="s">
        <v>7</v>
      </c>
      <c r="B17" s="14" t="s">
        <v>6</v>
      </c>
      <c r="C17" s="29">
        <f>SUM(C14:C16)</f>
        <v>271886</v>
      </c>
      <c r="D17" s="14" t="s">
        <v>6</v>
      </c>
      <c r="E17" s="29">
        <f>SUM(E14:E16)</f>
        <v>11643.38</v>
      </c>
      <c r="F17" s="14" t="s">
        <v>6</v>
      </c>
      <c r="G17" s="29">
        <f>SUM(G14:G16)</f>
        <v>283529.38</v>
      </c>
    </row>
    <row r="18" spans="1:7" ht="15.75" thickTop="1">
      <c r="A18" s="3"/>
      <c r="B18" s="3"/>
      <c r="C18" s="3"/>
      <c r="D18" s="3"/>
      <c r="E18" s="3"/>
      <c r="F18" s="3"/>
      <c r="G18" s="3"/>
    </row>
    <row r="19" spans="1:7" ht="15">
      <c r="A19" s="9"/>
      <c r="B19" s="2"/>
      <c r="C19" s="10"/>
      <c r="D19" s="2"/>
      <c r="E19" s="10"/>
      <c r="F19" s="2"/>
      <c r="G19" s="10"/>
    </row>
    <row r="20" spans="1:7" ht="15">
      <c r="A20" s="42" t="s">
        <v>39</v>
      </c>
      <c r="B20" s="43"/>
      <c r="C20" s="43"/>
      <c r="D20" s="43"/>
      <c r="E20" s="43"/>
      <c r="F20" s="43"/>
      <c r="G20" s="44"/>
    </row>
    <row r="21" spans="1:7" ht="15">
      <c r="A21" s="45"/>
      <c r="B21" s="46"/>
      <c r="C21" s="46"/>
      <c r="D21" s="46"/>
      <c r="E21" s="46"/>
      <c r="F21" s="46"/>
      <c r="G21" s="47"/>
    </row>
    <row r="22" spans="1:7" ht="15">
      <c r="A22" s="48"/>
      <c r="B22" s="49"/>
      <c r="C22" s="49"/>
      <c r="D22" s="49"/>
      <c r="E22" s="49"/>
      <c r="F22" s="49"/>
      <c r="G22" s="50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</sheetData>
  <sheetProtection/>
  <mergeCells count="10">
    <mergeCell ref="C9:G9"/>
    <mergeCell ref="C10:G10"/>
    <mergeCell ref="C11:G11"/>
    <mergeCell ref="A20:G22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showGridLines="0" zoomScalePageLayoutView="0" workbookViewId="0" topLeftCell="A7">
      <selection activeCell="C22" sqref="C22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45473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9" t="s">
        <v>55</v>
      </c>
      <c r="D7" s="39"/>
      <c r="E7" s="39"/>
      <c r="F7" s="39"/>
      <c r="G7" s="39"/>
    </row>
    <row r="8" spans="1:7" ht="15">
      <c r="A8" s="15" t="s">
        <v>11</v>
      </c>
      <c r="B8" s="17"/>
      <c r="C8" s="51">
        <v>40724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330801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52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53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2024</v>
      </c>
      <c r="B14" s="13" t="s">
        <v>6</v>
      </c>
      <c r="C14" s="32">
        <f>16990</f>
        <v>16990</v>
      </c>
      <c r="D14" s="13" t="s">
        <v>6</v>
      </c>
      <c r="E14" s="32">
        <f>2077.19+1871</f>
        <v>3948.19</v>
      </c>
      <c r="F14" s="13" t="s">
        <v>6</v>
      </c>
      <c r="G14" s="8">
        <f aca="true" t="shared" si="0" ref="G14:G21">+C14+E14</f>
        <v>20938.19</v>
      </c>
    </row>
    <row r="15" spans="1:7" ht="13.5" customHeight="1">
      <c r="A15" s="31">
        <v>2025</v>
      </c>
      <c r="B15" s="13" t="s">
        <v>6</v>
      </c>
      <c r="C15" s="32">
        <f>17490</f>
        <v>17490</v>
      </c>
      <c r="D15" s="13" t="s">
        <v>6</v>
      </c>
      <c r="E15" s="32">
        <f>1871+1658</f>
        <v>3529</v>
      </c>
      <c r="F15" s="13" t="s">
        <v>6</v>
      </c>
      <c r="G15" s="8">
        <f t="shared" si="0"/>
        <v>21019</v>
      </c>
    </row>
    <row r="16" spans="1:7" ht="15">
      <c r="A16" s="31">
        <v>2026</v>
      </c>
      <c r="B16" s="13" t="s">
        <v>6</v>
      </c>
      <c r="C16" s="32">
        <f>17989</f>
        <v>17989</v>
      </c>
      <c r="D16" s="13" t="s">
        <v>6</v>
      </c>
      <c r="E16" s="32">
        <f>1215.21+1440.08</f>
        <v>2655.29</v>
      </c>
      <c r="F16" s="13" t="s">
        <v>6</v>
      </c>
      <c r="G16" s="8">
        <f t="shared" si="0"/>
        <v>20644.29</v>
      </c>
    </row>
    <row r="17" spans="1:7" ht="15">
      <c r="A17" s="31">
        <v>2027</v>
      </c>
      <c r="B17" s="13" t="s">
        <v>6</v>
      </c>
      <c r="C17" s="32">
        <f>18489</f>
        <v>18489</v>
      </c>
      <c r="D17" s="13" t="s">
        <v>6</v>
      </c>
      <c r="E17" s="32">
        <f>1215.21+984.1</f>
        <v>2199.31</v>
      </c>
      <c r="F17" s="13" t="s">
        <v>6</v>
      </c>
      <c r="G17" s="8">
        <f t="shared" si="0"/>
        <v>20688.31</v>
      </c>
    </row>
    <row r="18" spans="1:7" ht="15">
      <c r="A18" s="31">
        <v>2028</v>
      </c>
      <c r="B18" s="13" t="s">
        <v>6</v>
      </c>
      <c r="C18" s="32">
        <f>18989</f>
        <v>18989</v>
      </c>
      <c r="D18" s="13" t="s">
        <v>6</v>
      </c>
      <c r="E18" s="32">
        <f>984.1+746.74</f>
        <v>1730.8400000000001</v>
      </c>
      <c r="F18" s="13" t="s">
        <v>6</v>
      </c>
      <c r="G18" s="8">
        <f t="shared" si="0"/>
        <v>20719.84</v>
      </c>
    </row>
    <row r="19" spans="1:7" ht="15">
      <c r="A19" s="31">
        <v>2029</v>
      </c>
      <c r="B19" s="13" t="s">
        <v>6</v>
      </c>
      <c r="C19" s="32">
        <f>19488</f>
        <v>19488</v>
      </c>
      <c r="D19" s="13" t="s">
        <v>6</v>
      </c>
      <c r="E19" s="32">
        <f>746.74+503.14</f>
        <v>1249.88</v>
      </c>
      <c r="F19" s="13" t="s">
        <v>6</v>
      </c>
      <c r="G19" s="8">
        <f t="shared" si="0"/>
        <v>20737.88</v>
      </c>
    </row>
    <row r="20" spans="1:7" ht="15">
      <c r="A20" s="31">
        <v>2030</v>
      </c>
      <c r="B20" s="13" t="s">
        <v>6</v>
      </c>
      <c r="C20" s="32">
        <f>19988</f>
        <v>19988</v>
      </c>
      <c r="D20" s="13" t="s">
        <v>6</v>
      </c>
      <c r="E20" s="32">
        <f>503.14+253.29</f>
        <v>756.43</v>
      </c>
      <c r="F20" s="13" t="s">
        <v>6</v>
      </c>
      <c r="G20" s="8">
        <f t="shared" si="0"/>
        <v>20744.43</v>
      </c>
    </row>
    <row r="21" spans="1:7" ht="15">
      <c r="A21" s="31">
        <v>2031</v>
      </c>
      <c r="B21" s="13" t="s">
        <v>6</v>
      </c>
      <c r="C21" s="32">
        <f>20263+14736</f>
        <v>34999</v>
      </c>
      <c r="D21" s="13" t="s">
        <v>6</v>
      </c>
      <c r="E21" s="32">
        <v>253.29</v>
      </c>
      <c r="F21" s="13" t="s">
        <v>6</v>
      </c>
      <c r="G21" s="8">
        <f t="shared" si="0"/>
        <v>35252.29</v>
      </c>
    </row>
    <row r="22" spans="1:8" ht="15.75" thickBot="1">
      <c r="A22" s="9" t="s">
        <v>7</v>
      </c>
      <c r="B22" s="14" t="s">
        <v>6</v>
      </c>
      <c r="C22" s="29">
        <f>SUM(C14:C21)</f>
        <v>164422</v>
      </c>
      <c r="D22" s="14" t="s">
        <v>6</v>
      </c>
      <c r="E22" s="29">
        <f>SUM(E14:E21)</f>
        <v>16322.23</v>
      </c>
      <c r="F22" s="14" t="s">
        <v>6</v>
      </c>
      <c r="G22" s="29">
        <f>SUM(G14:G21)</f>
        <v>180744.23</v>
      </c>
      <c r="H22" s="33"/>
    </row>
    <row r="23" spans="1:7" ht="15.75" thickTop="1">
      <c r="A23" s="3"/>
      <c r="B23" s="3"/>
      <c r="C23" s="3"/>
      <c r="D23" s="3"/>
      <c r="E23" s="3"/>
      <c r="F23" s="3"/>
      <c r="G23" s="3"/>
    </row>
    <row r="24" spans="1:7" ht="15">
      <c r="A24" s="9"/>
      <c r="B24" s="2"/>
      <c r="C24" s="10"/>
      <c r="D24" s="2"/>
      <c r="E24" s="10"/>
      <c r="F24" s="2"/>
      <c r="G24" s="10"/>
    </row>
    <row r="25" spans="1:7" ht="15">
      <c r="A25" s="42" t="s">
        <v>39</v>
      </c>
      <c r="B25" s="43"/>
      <c r="C25" s="43"/>
      <c r="D25" s="43"/>
      <c r="E25" s="43"/>
      <c r="F25" s="43"/>
      <c r="G25" s="44"/>
    </row>
    <row r="26" spans="1:7" ht="15">
      <c r="A26" s="45"/>
      <c r="B26" s="46"/>
      <c r="C26" s="46"/>
      <c r="D26" s="46"/>
      <c r="E26" s="46"/>
      <c r="F26" s="46"/>
      <c r="G26" s="47"/>
    </row>
    <row r="27" spans="1:7" ht="15">
      <c r="A27" s="48"/>
      <c r="B27" s="49"/>
      <c r="C27" s="49"/>
      <c r="D27" s="49"/>
      <c r="E27" s="49"/>
      <c r="F27" s="49"/>
      <c r="G27" s="50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</sheetData>
  <sheetProtection/>
  <mergeCells count="10">
    <mergeCell ref="C9:G9"/>
    <mergeCell ref="C10:G10"/>
    <mergeCell ref="C11:G11"/>
    <mergeCell ref="A25:G27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showGridLines="0" zoomScalePageLayoutView="0" workbookViewId="0" topLeftCell="A4">
      <selection activeCell="G17" sqref="G17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45473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29.25" customHeight="1">
      <c r="A7" s="15" t="s">
        <v>10</v>
      </c>
      <c r="B7" s="17"/>
      <c r="C7" s="39" t="s">
        <v>56</v>
      </c>
      <c r="D7" s="39"/>
      <c r="E7" s="39"/>
      <c r="F7" s="39"/>
      <c r="G7" s="39"/>
    </row>
    <row r="8" spans="1:7" ht="15">
      <c r="A8" s="15" t="s">
        <v>11</v>
      </c>
      <c r="B8" s="17"/>
      <c r="C8" s="51">
        <v>42551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372240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52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53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2024</v>
      </c>
      <c r="B14" s="13" t="s">
        <v>6</v>
      </c>
      <c r="C14" s="32">
        <v>37224</v>
      </c>
      <c r="D14" s="13" t="s">
        <v>6</v>
      </c>
      <c r="E14" s="32">
        <v>434</v>
      </c>
      <c r="F14" s="13" t="s">
        <v>6</v>
      </c>
      <c r="G14" s="8">
        <f>+C14+E14</f>
        <v>37658</v>
      </c>
    </row>
    <row r="15" spans="1:7" ht="13.5" customHeight="1">
      <c r="A15" s="31">
        <v>2025</v>
      </c>
      <c r="B15" s="13" t="s">
        <v>6</v>
      </c>
      <c r="C15" s="32">
        <v>37224</v>
      </c>
      <c r="D15" s="13" t="s">
        <v>6</v>
      </c>
      <c r="E15" s="32">
        <v>289</v>
      </c>
      <c r="F15" s="13" t="s">
        <v>6</v>
      </c>
      <c r="G15" s="8">
        <f>+C15+E15</f>
        <v>37513</v>
      </c>
    </row>
    <row r="16" spans="1:7" ht="15">
      <c r="A16" s="31">
        <v>2026</v>
      </c>
      <c r="B16" s="13" t="s">
        <v>6</v>
      </c>
      <c r="C16" s="32">
        <v>37224</v>
      </c>
      <c r="D16" s="13" t="s">
        <v>6</v>
      </c>
      <c r="E16" s="32">
        <f>72+72</f>
        <v>144</v>
      </c>
      <c r="F16" s="13" t="s">
        <v>6</v>
      </c>
      <c r="G16" s="8">
        <f>+C16+E16</f>
        <v>37368</v>
      </c>
    </row>
    <row r="17" spans="1:7" ht="15.75" thickBot="1">
      <c r="A17" s="9" t="s">
        <v>7</v>
      </c>
      <c r="B17" s="14" t="s">
        <v>6</v>
      </c>
      <c r="C17" s="29">
        <f>SUM(C14:C16)</f>
        <v>111672</v>
      </c>
      <c r="D17" s="14" t="s">
        <v>6</v>
      </c>
      <c r="E17" s="29">
        <f>SUM(E14:E16)</f>
        <v>867</v>
      </c>
      <c r="F17" s="14" t="s">
        <v>6</v>
      </c>
      <c r="G17" s="29">
        <f>SUM(G14:G16)</f>
        <v>112539</v>
      </c>
    </row>
    <row r="18" spans="1:7" ht="15.75" thickTop="1">
      <c r="A18" s="3"/>
      <c r="B18" s="3"/>
      <c r="C18" s="3"/>
      <c r="D18" s="3"/>
      <c r="E18" s="3"/>
      <c r="F18" s="3"/>
      <c r="G18" s="3"/>
    </row>
    <row r="19" spans="1:7" ht="15">
      <c r="A19" s="9"/>
      <c r="B19" s="2"/>
      <c r="C19" s="10"/>
      <c r="D19" s="2"/>
      <c r="E19" s="10"/>
      <c r="F19" s="2"/>
      <c r="G19" s="10"/>
    </row>
    <row r="20" spans="1:7" ht="15">
      <c r="A20" s="42" t="s">
        <v>39</v>
      </c>
      <c r="B20" s="43"/>
      <c r="C20" s="43"/>
      <c r="D20" s="43"/>
      <c r="E20" s="43"/>
      <c r="F20" s="43"/>
      <c r="G20" s="44"/>
    </row>
    <row r="21" spans="1:7" ht="15">
      <c r="A21" s="45"/>
      <c r="B21" s="46"/>
      <c r="C21" s="46"/>
      <c r="D21" s="46"/>
      <c r="E21" s="46"/>
      <c r="F21" s="46"/>
      <c r="G21" s="47"/>
    </row>
    <row r="22" spans="1:7" ht="15">
      <c r="A22" s="48"/>
      <c r="B22" s="49"/>
      <c r="C22" s="49"/>
      <c r="D22" s="49"/>
      <c r="E22" s="49"/>
      <c r="F22" s="49"/>
      <c r="G22" s="50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</sheetData>
  <sheetProtection/>
  <mergeCells count="10">
    <mergeCell ref="C9:G9"/>
    <mergeCell ref="C10:G10"/>
    <mergeCell ref="C11:G11"/>
    <mergeCell ref="A20:G22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showGridLines="0" tabSelected="1" zoomScalePageLayoutView="0" workbookViewId="0" topLeftCell="A1">
      <selection activeCell="B23" sqref="B23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8" t="s">
        <v>8</v>
      </c>
      <c r="B1" s="38"/>
      <c r="C1" s="38"/>
      <c r="D1" s="38"/>
      <c r="E1" s="38"/>
      <c r="F1" s="38"/>
      <c r="G1" s="38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9" t="s">
        <v>47</v>
      </c>
      <c r="D3" s="39"/>
      <c r="E3" s="39"/>
      <c r="F3" s="39"/>
      <c r="G3" s="39"/>
    </row>
    <row r="4" spans="1:7" ht="15">
      <c r="A4" s="2" t="s">
        <v>0</v>
      </c>
      <c r="B4" s="3"/>
      <c r="C4" s="40" t="s">
        <v>58</v>
      </c>
      <c r="D4" s="40"/>
      <c r="E4" s="40"/>
      <c r="F4" s="40"/>
      <c r="G4" s="40"/>
    </row>
    <row r="5" spans="1:7" ht="15">
      <c r="A5" s="4" t="s">
        <v>1</v>
      </c>
      <c r="B5" s="5"/>
      <c r="C5" s="41">
        <v>45473</v>
      </c>
      <c r="D5" s="41"/>
      <c r="E5" s="41"/>
      <c r="F5" s="41"/>
      <c r="G5" s="41"/>
    </row>
    <row r="6" spans="1:7" ht="15">
      <c r="A6" s="3"/>
      <c r="B6" s="3"/>
      <c r="C6" s="3"/>
      <c r="D6" s="3"/>
      <c r="E6" s="3"/>
      <c r="F6" s="3"/>
      <c r="G6" s="3"/>
    </row>
    <row r="7" spans="1:7" ht="30.75" customHeight="1">
      <c r="A7" s="15" t="s">
        <v>10</v>
      </c>
      <c r="B7" s="17"/>
      <c r="C7" s="39" t="s">
        <v>57</v>
      </c>
      <c r="D7" s="39"/>
      <c r="E7" s="39"/>
      <c r="F7" s="39"/>
      <c r="G7" s="39"/>
    </row>
    <row r="8" spans="1:7" ht="15">
      <c r="A8" s="15" t="s">
        <v>11</v>
      </c>
      <c r="B8" s="17"/>
      <c r="C8" s="51">
        <v>44012</v>
      </c>
      <c r="D8" s="51"/>
      <c r="E8" s="51"/>
      <c r="F8" s="51"/>
      <c r="G8" s="51"/>
    </row>
    <row r="9" spans="1:7" ht="15">
      <c r="A9" s="15" t="s">
        <v>12</v>
      </c>
      <c r="B9" s="18"/>
      <c r="C9" s="52">
        <v>3481509</v>
      </c>
      <c r="D9" s="52"/>
      <c r="E9" s="52"/>
      <c r="F9" s="52"/>
      <c r="G9" s="52"/>
    </row>
    <row r="10" spans="1:7" ht="15">
      <c r="A10" s="15" t="s">
        <v>13</v>
      </c>
      <c r="B10" s="18"/>
      <c r="C10" s="53" t="s">
        <v>52</v>
      </c>
      <c r="D10" s="53"/>
      <c r="E10" s="53"/>
      <c r="F10" s="53"/>
      <c r="G10" s="53"/>
    </row>
    <row r="11" spans="1:7" ht="15">
      <c r="A11" s="16" t="s">
        <v>14</v>
      </c>
      <c r="B11" s="19"/>
      <c r="C11" s="54" t="s">
        <v>53</v>
      </c>
      <c r="D11" s="54"/>
      <c r="E11" s="54"/>
      <c r="F11" s="54"/>
      <c r="G11" s="54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>
        <v>2024</v>
      </c>
      <c r="B14" s="13" t="s">
        <v>6</v>
      </c>
      <c r="C14" s="32">
        <v>66262</v>
      </c>
      <c r="D14" s="13" t="s">
        <v>6</v>
      </c>
      <c r="E14" s="32">
        <f>76054+76054</f>
        <v>152108</v>
      </c>
      <c r="F14" s="13" t="s">
        <v>6</v>
      </c>
      <c r="G14" s="8">
        <f aca="true" t="shared" si="0" ref="G14:G32">+C14+E14</f>
        <v>218370</v>
      </c>
    </row>
    <row r="15" spans="1:7" ht="13.5" customHeight="1">
      <c r="A15" s="31">
        <v>2025</v>
      </c>
      <c r="B15" s="13" t="s">
        <v>6</v>
      </c>
      <c r="C15" s="32">
        <v>68302</v>
      </c>
      <c r="D15" s="13" t="s">
        <v>6</v>
      </c>
      <c r="E15" s="32">
        <f>74729+74729</f>
        <v>149458</v>
      </c>
      <c r="F15" s="13" t="s">
        <v>6</v>
      </c>
      <c r="G15" s="8">
        <f t="shared" si="0"/>
        <v>217760</v>
      </c>
    </row>
    <row r="16" spans="1:7" ht="15">
      <c r="A16" s="31">
        <v>2026</v>
      </c>
      <c r="B16" s="13" t="s">
        <v>6</v>
      </c>
      <c r="C16" s="32">
        <v>71559</v>
      </c>
      <c r="D16" s="13" t="s">
        <v>6</v>
      </c>
      <c r="E16" s="32">
        <f>73363+73363</f>
        <v>146726</v>
      </c>
      <c r="F16" s="13" t="s">
        <v>6</v>
      </c>
      <c r="G16" s="8">
        <f t="shared" si="0"/>
        <v>218285</v>
      </c>
    </row>
    <row r="17" spans="1:7" ht="15">
      <c r="A17" s="31">
        <v>2027</v>
      </c>
      <c r="B17" s="13" t="s">
        <v>6</v>
      </c>
      <c r="C17" s="32">
        <v>146429</v>
      </c>
      <c r="D17" s="13" t="s">
        <v>6</v>
      </c>
      <c r="E17" s="32">
        <f>71574+71574</f>
        <v>143148</v>
      </c>
      <c r="F17" s="13" t="s">
        <v>6</v>
      </c>
      <c r="G17" s="8">
        <f t="shared" si="0"/>
        <v>289577</v>
      </c>
    </row>
    <row r="18" spans="1:7" ht="15">
      <c r="A18" s="31">
        <v>2028</v>
      </c>
      <c r="B18" s="13" t="s">
        <v>6</v>
      </c>
      <c r="C18" s="32">
        <v>154418</v>
      </c>
      <c r="D18" s="13" t="s">
        <v>6</v>
      </c>
      <c r="E18" s="32">
        <f>67913+67913</f>
        <v>135826</v>
      </c>
      <c r="F18" s="13" t="s">
        <v>6</v>
      </c>
      <c r="G18" s="8">
        <f t="shared" si="0"/>
        <v>290244</v>
      </c>
    </row>
    <row r="19" spans="1:7" ht="15">
      <c r="A19" s="31">
        <v>2029</v>
      </c>
      <c r="B19" s="13" t="s">
        <v>6</v>
      </c>
      <c r="C19" s="32">
        <v>163058</v>
      </c>
      <c r="D19" s="13" t="s">
        <v>6</v>
      </c>
      <c r="E19" s="32">
        <f>64053+64053</f>
        <v>128106</v>
      </c>
      <c r="F19" s="13" t="s">
        <v>6</v>
      </c>
      <c r="G19" s="8">
        <f t="shared" si="0"/>
        <v>291164</v>
      </c>
    </row>
    <row r="20" spans="1:7" ht="15">
      <c r="A20" s="31">
        <v>2030</v>
      </c>
      <c r="B20" s="13" t="s">
        <v>6</v>
      </c>
      <c r="C20" s="32">
        <v>171699</v>
      </c>
      <c r="D20" s="13" t="s">
        <v>6</v>
      </c>
      <c r="E20" s="32">
        <f>59976+59976</f>
        <v>119952</v>
      </c>
      <c r="F20" s="13" t="s">
        <v>6</v>
      </c>
      <c r="G20" s="8">
        <f t="shared" si="0"/>
        <v>291651</v>
      </c>
    </row>
    <row r="21" spans="1:7" ht="15">
      <c r="A21" s="31">
        <v>2031</v>
      </c>
      <c r="B21" s="13" t="s">
        <v>6</v>
      </c>
      <c r="C21" s="32">
        <v>158966</v>
      </c>
      <c r="D21" s="13" t="s">
        <v>6</v>
      </c>
      <c r="E21" s="32">
        <f>55684+55684</f>
        <v>111368</v>
      </c>
      <c r="F21" s="13" t="s">
        <v>6</v>
      </c>
      <c r="G21" s="8">
        <f t="shared" si="0"/>
        <v>270334</v>
      </c>
    </row>
    <row r="22" spans="1:7" ht="15">
      <c r="A22" s="31">
        <v>2032</v>
      </c>
      <c r="B22" s="13" t="s">
        <v>6</v>
      </c>
      <c r="C22" s="32">
        <v>165481</v>
      </c>
      <c r="D22" s="13" t="s">
        <v>6</v>
      </c>
      <c r="E22" s="32">
        <f>52504+52504</f>
        <v>105008</v>
      </c>
      <c r="F22" s="13" t="s">
        <v>6</v>
      </c>
      <c r="G22" s="8">
        <f t="shared" si="0"/>
        <v>270489</v>
      </c>
    </row>
    <row r="23" spans="1:7" ht="15">
      <c r="A23" s="31">
        <v>2033</v>
      </c>
      <c r="B23" s="13" t="s">
        <v>6</v>
      </c>
      <c r="C23" s="32">
        <v>171996</v>
      </c>
      <c r="D23" s="13" t="s">
        <v>6</v>
      </c>
      <c r="E23" s="32">
        <f>49195+49195</f>
        <v>98390</v>
      </c>
      <c r="F23" s="13" t="s">
        <v>6</v>
      </c>
      <c r="G23" s="8">
        <f t="shared" si="0"/>
        <v>270386</v>
      </c>
    </row>
    <row r="24" spans="1:7" ht="15">
      <c r="A24" s="31">
        <v>2034</v>
      </c>
      <c r="B24" s="13" t="s">
        <v>6</v>
      </c>
      <c r="C24" s="32">
        <v>179163</v>
      </c>
      <c r="D24" s="13" t="s">
        <v>6</v>
      </c>
      <c r="E24" s="32">
        <f>45755+45755</f>
        <v>91510</v>
      </c>
      <c r="F24" s="13" t="s">
        <v>6</v>
      </c>
      <c r="G24" s="8">
        <f t="shared" si="0"/>
        <v>270673</v>
      </c>
    </row>
    <row r="25" spans="1:7" ht="15">
      <c r="A25" s="31">
        <v>2035</v>
      </c>
      <c r="B25" s="13" t="s">
        <v>6</v>
      </c>
      <c r="C25" s="32">
        <v>187632</v>
      </c>
      <c r="D25" s="13" t="s">
        <v>6</v>
      </c>
      <c r="E25" s="32">
        <f>42172+42172</f>
        <v>84344</v>
      </c>
      <c r="F25" s="13" t="s">
        <v>6</v>
      </c>
      <c r="G25" s="8">
        <f t="shared" si="0"/>
        <v>271976</v>
      </c>
    </row>
    <row r="26" spans="1:7" ht="15">
      <c r="A26" s="31">
        <v>2036</v>
      </c>
      <c r="B26" s="13" t="s">
        <v>6</v>
      </c>
      <c r="C26" s="32">
        <v>196753</v>
      </c>
      <c r="D26" s="13" t="s">
        <v>6</v>
      </c>
      <c r="E26" s="32">
        <f>37481+37481</f>
        <v>74962</v>
      </c>
      <c r="F26" s="13" t="s">
        <v>6</v>
      </c>
      <c r="G26" s="8">
        <f t="shared" si="0"/>
        <v>271715</v>
      </c>
    </row>
    <row r="27" spans="1:7" ht="15">
      <c r="A27" s="31">
        <v>2037</v>
      </c>
      <c r="B27" s="13" t="s">
        <v>6</v>
      </c>
      <c r="C27" s="32">
        <v>207177</v>
      </c>
      <c r="D27" s="13" t="s">
        <v>6</v>
      </c>
      <c r="E27" s="32">
        <f>32562+32562</f>
        <v>65124</v>
      </c>
      <c r="F27" s="13" t="s">
        <v>6</v>
      </c>
      <c r="G27" s="8">
        <f t="shared" si="0"/>
        <v>272301</v>
      </c>
    </row>
    <row r="28" spans="1:7" ht="15">
      <c r="A28" s="31">
        <v>2038</v>
      </c>
      <c r="B28" s="13" t="s">
        <v>6</v>
      </c>
      <c r="C28" s="32">
        <v>216298</v>
      </c>
      <c r="D28" s="13" t="s">
        <v>6</v>
      </c>
      <c r="E28" s="32">
        <f>27383+27383</f>
        <v>54766</v>
      </c>
      <c r="F28" s="13" t="s">
        <v>6</v>
      </c>
      <c r="G28" s="8">
        <f t="shared" si="0"/>
        <v>271064</v>
      </c>
    </row>
    <row r="29" spans="1:7" ht="15">
      <c r="A29" s="31">
        <v>2039</v>
      </c>
      <c r="B29" s="13" t="s">
        <v>6</v>
      </c>
      <c r="C29" s="32">
        <v>226071</v>
      </c>
      <c r="D29" s="13" t="s">
        <v>6</v>
      </c>
      <c r="E29" s="32">
        <f>23057+23057</f>
        <v>46114</v>
      </c>
      <c r="F29" s="13" t="s">
        <v>6</v>
      </c>
      <c r="G29" s="8">
        <f t="shared" si="0"/>
        <v>272185</v>
      </c>
    </row>
    <row r="30" spans="1:7" ht="15">
      <c r="A30" s="31">
        <v>2040</v>
      </c>
      <c r="B30" s="13" t="s">
        <v>6</v>
      </c>
      <c r="C30" s="32">
        <v>237798</v>
      </c>
      <c r="D30" s="13" t="s">
        <v>6</v>
      </c>
      <c r="E30" s="32">
        <f>17405+17405</f>
        <v>34810</v>
      </c>
      <c r="F30" s="13" t="s">
        <v>6</v>
      </c>
      <c r="G30" s="8">
        <f t="shared" si="0"/>
        <v>272608</v>
      </c>
    </row>
    <row r="31" spans="1:7" ht="15">
      <c r="A31" s="31">
        <v>2041</v>
      </c>
      <c r="B31" s="13" t="s">
        <v>6</v>
      </c>
      <c r="C31" s="32">
        <v>248873</v>
      </c>
      <c r="D31" s="13" t="s">
        <v>6</v>
      </c>
      <c r="E31" s="32">
        <f>11460+11460</f>
        <v>22920</v>
      </c>
      <c r="F31" s="13" t="s">
        <v>6</v>
      </c>
      <c r="G31" s="8">
        <f t="shared" si="0"/>
        <v>271793</v>
      </c>
    </row>
    <row r="32" spans="1:7" ht="15">
      <c r="A32" s="31">
        <v>2042</v>
      </c>
      <c r="B32" s="13" t="s">
        <v>6</v>
      </c>
      <c r="C32" s="32">
        <v>259291</v>
      </c>
      <c r="D32" s="13" t="s">
        <v>6</v>
      </c>
      <c r="E32" s="32">
        <f>6482+6482</f>
        <v>12964</v>
      </c>
      <c r="F32" s="13" t="s">
        <v>6</v>
      </c>
      <c r="G32" s="8">
        <f t="shared" si="0"/>
        <v>272255</v>
      </c>
    </row>
    <row r="33" spans="1:7" ht="15.75" thickBot="1">
      <c r="A33" s="9" t="s">
        <v>7</v>
      </c>
      <c r="B33" s="14" t="s">
        <v>6</v>
      </c>
      <c r="C33" s="29">
        <f>SUM(C14:C32)</f>
        <v>3297226</v>
      </c>
      <c r="D33" s="14" t="s">
        <v>6</v>
      </c>
      <c r="E33" s="29">
        <f>SUM(E14:E32)</f>
        <v>1777604</v>
      </c>
      <c r="F33" s="14" t="s">
        <v>6</v>
      </c>
      <c r="G33" s="29">
        <f>SUM(G14:G32)</f>
        <v>5074830</v>
      </c>
    </row>
    <row r="34" spans="1:7" ht="15.75" thickTop="1">
      <c r="A34" s="3"/>
      <c r="B34" s="3"/>
      <c r="C34" s="3"/>
      <c r="D34" s="3"/>
      <c r="E34" s="3"/>
      <c r="F34" s="3"/>
      <c r="G34" s="3"/>
    </row>
    <row r="35" spans="1:7" ht="15">
      <c r="A35" s="9"/>
      <c r="B35" s="2"/>
      <c r="C35" s="10"/>
      <c r="D35" s="2"/>
      <c r="E35" s="10"/>
      <c r="F35" s="2"/>
      <c r="G35" s="10"/>
    </row>
    <row r="36" spans="1:7" ht="15">
      <c r="A36" s="42" t="s">
        <v>39</v>
      </c>
      <c r="B36" s="43"/>
      <c r="C36" s="43"/>
      <c r="D36" s="43"/>
      <c r="E36" s="43"/>
      <c r="F36" s="43"/>
      <c r="G36" s="44"/>
    </row>
    <row r="37" spans="1:7" ht="15">
      <c r="A37" s="45"/>
      <c r="B37" s="46"/>
      <c r="C37" s="46"/>
      <c r="D37" s="46"/>
      <c r="E37" s="46"/>
      <c r="F37" s="46"/>
      <c r="G37" s="47"/>
    </row>
    <row r="38" spans="1:7" ht="15">
      <c r="A38" s="48"/>
      <c r="B38" s="49"/>
      <c r="C38" s="49"/>
      <c r="D38" s="49"/>
      <c r="E38" s="49"/>
      <c r="F38" s="49"/>
      <c r="G38" s="50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</sheetData>
  <sheetProtection/>
  <mergeCells count="10">
    <mergeCell ref="C9:G9"/>
    <mergeCell ref="C10:G10"/>
    <mergeCell ref="C11:G11"/>
    <mergeCell ref="A36:G38"/>
    <mergeCell ref="A1:G1"/>
    <mergeCell ref="C3:G3"/>
    <mergeCell ref="C4:G4"/>
    <mergeCell ref="C5:G5"/>
    <mergeCell ref="C7:G7"/>
    <mergeCell ref="C8:G8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Aimee MacEwen</cp:lastModifiedBy>
  <cp:lastPrinted>2023-10-23T18:58:38Z</cp:lastPrinted>
  <dcterms:created xsi:type="dcterms:W3CDTF">2013-07-12T15:13:59Z</dcterms:created>
  <dcterms:modified xsi:type="dcterms:W3CDTF">2023-10-23T19:44:42Z</dcterms:modified>
  <cp:category/>
  <cp:version/>
  <cp:contentType/>
  <cp:contentStatus/>
</cp:coreProperties>
</file>